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לשנה '!$A$1:$E$55</definedName>
    <definedName name="_xlnm.Print_Area" localSheetId="2">'פרוט עמלות ניהול חיצוני לשנה'!$A$1:$H$55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<sst xmlns="http://schemas.openxmlformats.org/spreadsheetml/2006/main" count="184" uniqueCount="102">
  <si>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</si>
  <si>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</si>
  <si>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</si>
  <si>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</si>
  <si>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</si>
  <si>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</si>
  <si>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</si>
  <si>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</si>
  <si>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</si>
  <si>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</si>
  <si>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</si>
  <si>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</si>
  <si>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</si>
  <si>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</si>
  <si>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</si>
  <si>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</si>
  <si>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</si>
  <si>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</si>
  <si>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</si>
  <si>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</si>
  <si>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</si>
  <si>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</si>
  <si>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</si>
  <si>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</si>
  <si>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</si>
  <si>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</si>
  <si>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</si>
  <si>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</si>
  <si>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</si>
  <si>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</si>
  <si>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</si>
  <si>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</si>
  <si>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</si>
  <si>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</si>
  <si>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</si>
  <si>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</si>
  <si>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</si>
  <si>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</si>
  <si>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</si>
  <si>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</si>
  <si>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</si>
  <si>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</si>
  <si>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</si>
  <si>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</si>
  <si>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</si>
  <si>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</si>
  <si>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</si>
  <si>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</si>
  <si>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</si>
  <si>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</si>
  <si>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</si>
  <si>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</si>
  <si>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</si>
  <si>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</si>
  <si>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</si>
  <si>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</si>
  <si>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</si>
  <si>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</si>
  <si>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</si>
  <si>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</si>
  <si>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</si>
  <si>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</si>
  <si>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</si>
  <si>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</si>
  <si>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</si>
  <si>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</si>
  <si>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</si>
  <si>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</si>
  <si>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</si>
  <si>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א</t>
  </si>
  <si>
    <t>הבנק הבינלאומי</t>
  </si>
  <si>
    <t>DINVEST SICAV SELECT</t>
  </si>
  <si>
    <t>רוטשילד ק.הון</t>
  </si>
  <si>
    <t>הראל</t>
  </si>
  <si>
    <t>UBAM</t>
  </si>
  <si>
    <t>DARWIN</t>
  </si>
  <si>
    <t xml:space="preserve">הראל </t>
  </si>
  <si>
    <t>קסם</t>
  </si>
  <si>
    <t>SPDR</t>
  </si>
  <si>
    <t>WISDOMTREE</t>
  </si>
  <si>
    <t xml:space="preserve">גל גמל מצרפי- סך התשלומים ששולמו בעד כל סוג של הוצאה ישירה למחצית המסתיימת ביום: 30/6/2015 </t>
  </si>
  <si>
    <t xml:space="preserve">    קופה 637 גל מסלול כללי- סך התשלומים ששולמו בגין כל סוג של הוצאה ישירה למחצית המסתיימת ביום: 30/6/2015 </t>
  </si>
  <si>
    <t xml:space="preserve">     קופה 1444 גל אג"ח ללא מניות-  סך התשלומים ששולמו בגין כל סוג של הוצאה ישירה למחצית המסתיימת ביום: 30/6/2015 </t>
  </si>
  <si>
    <t xml:space="preserve"> גל מצרפי- פרוט עמלות והוצאות למחצית המסתיימת ביום: 30/6/2015        </t>
  </si>
  <si>
    <t xml:space="preserve">                      גל מצרפי- פירוט עמלות ניהול חיצוני למחצית המסתיימת ביום: 30/6/2015 </t>
  </si>
  <si>
    <t>אי.בי.אי.</t>
  </si>
  <si>
    <t>בנק דיסקונט</t>
  </si>
  <si>
    <t>נשואה</t>
  </si>
  <si>
    <t>יורוקליר</t>
  </si>
  <si>
    <t>OPPENHEIMER DTC</t>
  </si>
  <si>
    <t>קרן גידור נוקד</t>
  </si>
  <si>
    <t>קרן גידור פאי 2</t>
  </si>
  <si>
    <t>הראל ארגו קרן הון סיכון</t>
  </si>
  <si>
    <t>TRADING CAPITAL HOLDINGS NV</t>
  </si>
  <si>
    <t>EDMOND DE ROTHSCHILD</t>
  </si>
  <si>
    <t>BSP</t>
  </si>
  <si>
    <t>ISHARES</t>
  </si>
  <si>
    <t>VANGUARD</t>
  </si>
  <si>
    <t>Consumer</t>
  </si>
  <si>
    <t xml:space="preserve">GLOBAL X CHINA </t>
  </si>
  <si>
    <t>EGSHARES</t>
  </si>
  <si>
    <t>תכלית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</si>
</sst>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10" fontId="1" fillId="0" borderId="0" xfId="42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wrapText="1"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71" fontId="0" fillId="0" borderId="0" xfId="33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41" applyNumberFormat="1" applyFill="1" applyAlignment="1">
      <alignment horizontal="right" vertical="center"/>
      <protection/>
    </xf>
    <xf numFmtId="43" fontId="0" fillId="0" borderId="0" xfId="35" applyFont="1" applyFill="1" applyAlignment="1">
      <alignment/>
    </xf>
    <xf numFmtId="171" fontId="0" fillId="0" borderId="0" xfId="33" applyFont="1" applyFill="1" applyAlignment="1">
      <alignment/>
    </xf>
    <xf numFmtId="0" fontId="2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Normal 5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rightToLeft="1" tabSelected="1" zoomScalePageLayoutView="0" workbookViewId="0" topLeftCell="A1">
      <selection activeCell="G30" sqref="A28:G30"/>
    </sheetView>
  </sheetViews>
  <sheetFormatPr defaultColWidth="9.140625" defaultRowHeight="12.75"/>
  <cols>
    <col min="1" max="1" width="18.28125" style="1" customWidth="1"/>
    <col min="2" max="2" width="58.57421875" style="1" customWidth="1"/>
    <col min="3" max="3" width="15.140625" style="29" customWidth="1"/>
    <col min="4" max="6" width="9.140625" style="1" customWidth="1"/>
    <col min="7" max="7" width="22.140625" style="1" customWidth="1"/>
    <col min="8" max="8" width="59.421875" style="1" customWidth="1"/>
    <col min="9" max="9" width="33.7109375" style="1" customWidth="1"/>
    <col min="10" max="10" width="18.140625" style="1" customWidth="1"/>
    <col min="11" max="11" width="15.57421875" style="1" customWidth="1"/>
    <col min="12" max="12" width="58.57421875" style="1" customWidth="1"/>
    <col min="13" max="13" width="15.140625" style="1" customWidth="1"/>
    <col min="14" max="14" width="18.140625" style="1" customWidth="1"/>
    <col min="15" max="15" width="30.28125" style="1" bestFit="1" customWidth="1"/>
    <col min="16" max="16384" width="9.140625" style="1" customWidth="1"/>
  </cols>
  <sheetData>
    <row r="1" spans="5:16" ht="12.75">
      <c r="E1" s="26" t="s">
        <v>80</v>
      </c>
      <c r="G1" s="21"/>
      <c r="H1" s="26"/>
      <c r="I1" s="26" t="s">
        <v>81</v>
      </c>
      <c r="J1" s="26"/>
      <c r="K1" s="26"/>
      <c r="L1" s="35" t="s">
        <v>82</v>
      </c>
      <c r="M1" s="35"/>
      <c r="N1" s="35"/>
      <c r="O1" s="35"/>
      <c r="P1" s="35"/>
    </row>
    <row r="2" spans="3:15" ht="25.5" customHeight="1">
      <c r="C2" s="19" t="s">
        <v>0</v>
      </c>
      <c r="I2" s="2" t="s">
        <v>0</v>
      </c>
      <c r="J2" s="2"/>
      <c r="K2" s="13"/>
      <c r="M2" s="2" t="s">
        <v>0</v>
      </c>
      <c r="N2" s="2"/>
      <c r="O2" s="13"/>
    </row>
    <row r="3" spans="1:15" ht="12.75">
      <c r="A3" s="2"/>
      <c r="B3" s="23" t="s">
        <v>22</v>
      </c>
      <c r="C3" s="19">
        <f>I3+M3</f>
        <v>223.501</v>
      </c>
      <c r="G3" s="2"/>
      <c r="H3" s="23" t="s">
        <v>22</v>
      </c>
      <c r="I3" s="16">
        <f>SUM(I4:I5)</f>
        <v>223.15</v>
      </c>
      <c r="J3" s="8"/>
      <c r="K3" s="2"/>
      <c r="L3" s="23" t="s">
        <v>22</v>
      </c>
      <c r="M3" s="16">
        <f>SUM(M4:M5)</f>
        <v>0.351</v>
      </c>
      <c r="N3" s="8"/>
      <c r="O3" s="2"/>
    </row>
    <row r="4" spans="1:15" ht="12.75">
      <c r="A4" s="2"/>
      <c r="B4" s="24" t="s">
        <v>28</v>
      </c>
      <c r="C4" s="16">
        <v>0</v>
      </c>
      <c r="G4" s="2"/>
      <c r="H4" s="24" t="s">
        <v>28</v>
      </c>
      <c r="I4" s="16">
        <v>0</v>
      </c>
      <c r="J4" s="8"/>
      <c r="K4" s="2"/>
      <c r="L4" s="24" t="s">
        <v>28</v>
      </c>
      <c r="M4" s="16">
        <f>'פרוט עמלות והוצאות לשנה '!H4</f>
        <v>0</v>
      </c>
      <c r="N4" s="8"/>
      <c r="O4" s="2"/>
    </row>
    <row r="5" spans="1:15" ht="12.75">
      <c r="A5" s="2"/>
      <c r="B5" s="24" t="s">
        <v>29</v>
      </c>
      <c r="C5" s="19">
        <f>I5+M5</f>
        <v>223.501</v>
      </c>
      <c r="G5" s="2"/>
      <c r="H5" s="24" t="s">
        <v>29</v>
      </c>
      <c r="I5" s="16">
        <v>223.15</v>
      </c>
      <c r="J5" s="8"/>
      <c r="K5" s="2"/>
      <c r="L5" s="24" t="s">
        <v>29</v>
      </c>
      <c r="M5" s="16">
        <v>0.351</v>
      </c>
      <c r="N5" s="8"/>
      <c r="O5" s="2"/>
    </row>
    <row r="6" spans="1:15" ht="12.75">
      <c r="A6" s="2"/>
      <c r="B6" s="2"/>
      <c r="C6" s="19"/>
      <c r="G6" s="2"/>
      <c r="H6" s="2"/>
      <c r="I6" s="16"/>
      <c r="J6" s="8"/>
      <c r="K6" s="2"/>
      <c r="L6" s="2"/>
      <c r="M6" s="16"/>
      <c r="N6" s="8"/>
      <c r="O6" s="2"/>
    </row>
    <row r="7" spans="1:15" ht="12.75">
      <c r="A7" s="2"/>
      <c r="B7" s="23" t="s">
        <v>23</v>
      </c>
      <c r="C7" s="19">
        <f aca="true" t="shared" si="0" ref="C7:C29">I7+M7</f>
        <v>44.53</v>
      </c>
      <c r="G7" s="2"/>
      <c r="H7" s="23" t="s">
        <v>23</v>
      </c>
      <c r="I7" s="16">
        <f>SUM(I8:I9)</f>
        <v>44.53</v>
      </c>
      <c r="J7" s="8"/>
      <c r="K7" s="2"/>
      <c r="L7" s="23" t="s">
        <v>23</v>
      </c>
      <c r="M7" s="16">
        <f>SUM(M8:M9)</f>
        <v>0</v>
      </c>
      <c r="N7" s="8"/>
      <c r="O7" s="2"/>
    </row>
    <row r="8" spans="1:15" ht="12.75">
      <c r="A8" s="2"/>
      <c r="B8" s="24" t="s">
        <v>30</v>
      </c>
      <c r="C8" s="16">
        <f t="shared" si="0"/>
        <v>0</v>
      </c>
      <c r="G8" s="2"/>
      <c r="H8" s="24" t="s">
        <v>30</v>
      </c>
      <c r="I8" s="16">
        <f>'פרוט עמלות והוצאות לשנה '!C19</f>
        <v>0</v>
      </c>
      <c r="J8" s="8"/>
      <c r="K8" s="2"/>
      <c r="L8" s="24" t="s">
        <v>30</v>
      </c>
      <c r="M8" s="16">
        <v>0</v>
      </c>
      <c r="N8" s="8"/>
      <c r="O8" s="2"/>
    </row>
    <row r="9" spans="1:15" ht="12.75">
      <c r="A9" s="2"/>
      <c r="B9" s="24" t="s">
        <v>31</v>
      </c>
      <c r="C9" s="19">
        <f t="shared" si="0"/>
        <v>44.53</v>
      </c>
      <c r="G9" s="2"/>
      <c r="H9" s="24" t="s">
        <v>31</v>
      </c>
      <c r="I9" s="16">
        <v>44.53</v>
      </c>
      <c r="J9" s="8"/>
      <c r="K9" s="2"/>
      <c r="L9" s="24" t="s">
        <v>31</v>
      </c>
      <c r="M9" s="16">
        <v>0</v>
      </c>
      <c r="N9" s="8"/>
      <c r="O9" s="2"/>
    </row>
    <row r="10" spans="1:15" ht="12.75">
      <c r="A10" s="2"/>
      <c r="B10" s="2"/>
      <c r="C10" s="19"/>
      <c r="G10" s="2"/>
      <c r="H10" s="2"/>
      <c r="I10" s="16"/>
      <c r="J10" s="8"/>
      <c r="K10" s="2"/>
      <c r="L10" s="2"/>
      <c r="M10" s="16"/>
      <c r="N10" s="8"/>
      <c r="O10" s="2"/>
    </row>
    <row r="11" spans="1:15" ht="12.75">
      <c r="A11" s="2"/>
      <c r="B11" s="2"/>
      <c r="C11" s="19"/>
      <c r="G11" s="2"/>
      <c r="H11" s="2"/>
      <c r="I11" s="16"/>
      <c r="J11" s="8"/>
      <c r="K11" s="2"/>
      <c r="L11" s="2"/>
      <c r="M11" s="16"/>
      <c r="N11" s="8"/>
      <c r="O11" s="2"/>
    </row>
    <row r="12" spans="1:15" ht="12.75">
      <c r="A12" s="2"/>
      <c r="B12" s="23" t="s">
        <v>32</v>
      </c>
      <c r="C12" s="16">
        <f>SUM(C13:C15)</f>
        <v>0</v>
      </c>
      <c r="G12" s="2"/>
      <c r="H12" s="23" t="s">
        <v>32</v>
      </c>
      <c r="I12" s="16">
        <f>SUM(I13:I15)</f>
        <v>0</v>
      </c>
      <c r="J12" s="8"/>
      <c r="K12" s="2"/>
      <c r="L12" s="23" t="s">
        <v>32</v>
      </c>
      <c r="M12" s="16">
        <f>SUM(M13:M15)</f>
        <v>0</v>
      </c>
      <c r="N12" s="8"/>
      <c r="O12" s="2"/>
    </row>
    <row r="13" spans="1:15" ht="25.5">
      <c r="A13" s="2"/>
      <c r="B13" s="24" t="s">
        <v>33</v>
      </c>
      <c r="C13" s="16">
        <f t="shared" si="0"/>
        <v>0</v>
      </c>
      <c r="G13" s="2"/>
      <c r="H13" s="24" t="s">
        <v>33</v>
      </c>
      <c r="I13" s="16">
        <f>'פרוט עמלות והוצאות לשנה '!C33</f>
        <v>0</v>
      </c>
      <c r="J13" s="8"/>
      <c r="K13" s="2"/>
      <c r="L13" s="24" t="s">
        <v>33</v>
      </c>
      <c r="M13" s="16">
        <f>'פרוט עמלות והוצאות לשנה '!H33</f>
        <v>0</v>
      </c>
      <c r="N13" s="8"/>
      <c r="O13" s="2"/>
    </row>
    <row r="14" spans="1:15" ht="12.75">
      <c r="A14" s="2"/>
      <c r="B14" s="24" t="s">
        <v>34</v>
      </c>
      <c r="C14" s="16">
        <f t="shared" si="0"/>
        <v>0</v>
      </c>
      <c r="G14" s="2"/>
      <c r="H14" s="24" t="s">
        <v>34</v>
      </c>
      <c r="I14" s="16"/>
      <c r="J14" s="8"/>
      <c r="K14" s="2"/>
      <c r="L14" s="24" t="s">
        <v>34</v>
      </c>
      <c r="M14" s="16"/>
      <c r="N14" s="8"/>
      <c r="O14" s="2"/>
    </row>
    <row r="15" spans="1:15" ht="12.75">
      <c r="A15" s="2"/>
      <c r="B15" s="24" t="s">
        <v>35</v>
      </c>
      <c r="C15" s="16">
        <f t="shared" si="0"/>
        <v>0</v>
      </c>
      <c r="G15" s="2"/>
      <c r="H15" s="24" t="s">
        <v>35</v>
      </c>
      <c r="I15" s="16">
        <f>'פרוט עמלות והוצאות לשנה '!C39</f>
        <v>0</v>
      </c>
      <c r="J15" s="8"/>
      <c r="K15" s="2"/>
      <c r="L15" s="24" t="s">
        <v>35</v>
      </c>
      <c r="M15" s="16">
        <f>'פרוט עמלות והוצאות לשנה '!H39</f>
        <v>0</v>
      </c>
      <c r="N15" s="8"/>
      <c r="O15" s="2"/>
    </row>
    <row r="16" spans="1:15" ht="12.75">
      <c r="A16" s="2"/>
      <c r="B16" s="22"/>
      <c r="C16" s="19"/>
      <c r="G16" s="2"/>
      <c r="H16" s="22"/>
      <c r="I16" s="16"/>
      <c r="J16" s="8"/>
      <c r="K16" s="2"/>
      <c r="L16" s="22"/>
      <c r="M16" s="16"/>
      <c r="N16" s="8"/>
      <c r="O16" s="2"/>
    </row>
    <row r="17" spans="1:15" ht="12.75">
      <c r="A17" s="2"/>
      <c r="B17" s="23" t="s">
        <v>24</v>
      </c>
      <c r="C17" s="19">
        <f t="shared" si="0"/>
        <v>460.984978201718</v>
      </c>
      <c r="G17" s="2"/>
      <c r="H17" s="23" t="s">
        <v>24</v>
      </c>
      <c r="I17" s="19">
        <f>SUM(I18:I25)</f>
        <v>460.74997820171797</v>
      </c>
      <c r="J17" s="8"/>
      <c r="K17" s="2"/>
      <c r="L17" s="23" t="s">
        <v>24</v>
      </c>
      <c r="M17" s="16">
        <f>SUM(M18:M25)</f>
        <v>0.23500000000000001</v>
      </c>
      <c r="N17" s="8"/>
      <c r="O17" s="2"/>
    </row>
    <row r="18" spans="1:15" ht="15" customHeight="1">
      <c r="A18" s="2"/>
      <c r="B18" s="24" t="s">
        <v>36</v>
      </c>
      <c r="C18" s="16">
        <f t="shared" si="0"/>
        <v>44.709999999999994</v>
      </c>
      <c r="G18" s="2"/>
      <c r="H18" s="24" t="s">
        <v>36</v>
      </c>
      <c r="I18" s="16">
        <v>44.709999999999994</v>
      </c>
      <c r="J18" s="8"/>
      <c r="K18" s="7"/>
      <c r="L18" s="24" t="s">
        <v>36</v>
      </c>
      <c r="M18" s="16">
        <v>0</v>
      </c>
      <c r="N18" s="8"/>
      <c r="O18" s="7"/>
    </row>
    <row r="19" spans="1:15" ht="14.25" customHeight="1">
      <c r="A19" s="2"/>
      <c r="B19" s="24" t="s">
        <v>37</v>
      </c>
      <c r="C19" s="19">
        <f t="shared" si="0"/>
        <v>4.097</v>
      </c>
      <c r="G19" s="2"/>
      <c r="H19" s="24" t="s">
        <v>37</v>
      </c>
      <c r="I19" s="16">
        <v>4.097</v>
      </c>
      <c r="J19" s="8"/>
      <c r="K19" s="2"/>
      <c r="L19" s="24" t="s">
        <v>37</v>
      </c>
      <c r="M19" s="16">
        <v>0</v>
      </c>
      <c r="N19" s="8"/>
      <c r="O19" s="2"/>
    </row>
    <row r="20" spans="1:15" ht="13.5" customHeight="1">
      <c r="A20" s="2"/>
      <c r="B20" s="24" t="s">
        <v>38</v>
      </c>
      <c r="C20" s="16">
        <f t="shared" si="0"/>
        <v>0</v>
      </c>
      <c r="G20" s="2"/>
      <c r="H20" s="24" t="s">
        <v>38</v>
      </c>
      <c r="I20" s="16">
        <v>0</v>
      </c>
      <c r="J20" s="8"/>
      <c r="K20" s="2"/>
      <c r="L20" s="24" t="s">
        <v>38</v>
      </c>
      <c r="M20" s="16">
        <f>'פרוט עמלות ניהול חיצוני לשנה'!H16</f>
        <v>0</v>
      </c>
      <c r="N20" s="8"/>
      <c r="O20" s="2"/>
    </row>
    <row r="21" spans="1:15" ht="12.75">
      <c r="A21" s="2"/>
      <c r="B21" s="24" t="s">
        <v>39</v>
      </c>
      <c r="C21" s="16">
        <f t="shared" si="0"/>
        <v>0</v>
      </c>
      <c r="G21" s="2"/>
      <c r="H21" s="24" t="s">
        <v>39</v>
      </c>
      <c r="I21" s="16">
        <v>0</v>
      </c>
      <c r="J21" s="8"/>
      <c r="K21" s="2"/>
      <c r="L21" s="24" t="s">
        <v>39</v>
      </c>
      <c r="M21" s="16">
        <f>'פרוט עמלות ניהול חיצוני לשנה'!H22</f>
        <v>0</v>
      </c>
      <c r="N21" s="8"/>
      <c r="O21" s="2"/>
    </row>
    <row r="22" spans="1:15" ht="12.75">
      <c r="A22" s="2"/>
      <c r="B22" s="24" t="s">
        <v>40</v>
      </c>
      <c r="C22" s="16">
        <f t="shared" si="0"/>
        <v>58.3680496921271</v>
      </c>
      <c r="G22" s="2"/>
      <c r="H22" s="24" t="s">
        <v>40</v>
      </c>
      <c r="I22" s="16">
        <v>58.1330496921271</v>
      </c>
      <c r="J22" s="8"/>
      <c r="K22" s="2"/>
      <c r="L22" s="24" t="s">
        <v>40</v>
      </c>
      <c r="M22" s="16">
        <v>0.23500000000000001</v>
      </c>
      <c r="N22" s="8"/>
      <c r="O22" s="2"/>
    </row>
    <row r="23" spans="1:15" ht="12.75">
      <c r="A23" s="2"/>
      <c r="B23" s="24" t="s">
        <v>41</v>
      </c>
      <c r="C23" s="16">
        <f t="shared" si="0"/>
        <v>117.20992850959087</v>
      </c>
      <c r="G23" s="2"/>
      <c r="H23" s="24" t="s">
        <v>41</v>
      </c>
      <c r="I23" s="16">
        <v>117.20992850959087</v>
      </c>
      <c r="J23" s="8"/>
      <c r="K23" s="2"/>
      <c r="L23" s="24" t="s">
        <v>41</v>
      </c>
      <c r="M23" s="16">
        <v>0</v>
      </c>
      <c r="N23" s="8"/>
      <c r="O23" s="2"/>
    </row>
    <row r="24" spans="1:15" ht="14.25" customHeight="1">
      <c r="A24" s="2"/>
      <c r="B24" s="24" t="s">
        <v>42</v>
      </c>
      <c r="C24" s="16">
        <f t="shared" si="0"/>
        <v>57.6</v>
      </c>
      <c r="G24" s="2"/>
      <c r="H24" s="24" t="s">
        <v>42</v>
      </c>
      <c r="I24" s="16">
        <v>57.6</v>
      </c>
      <c r="J24" s="8"/>
      <c r="K24" s="3"/>
      <c r="L24" s="24" t="s">
        <v>42</v>
      </c>
      <c r="M24" s="16">
        <f>'פרוט עמלות ניהול חיצוני לשנה'!H25</f>
        <v>0</v>
      </c>
      <c r="N24" s="8"/>
      <c r="O24" s="3"/>
    </row>
    <row r="25" spans="1:15" ht="12.75">
      <c r="A25" s="2"/>
      <c r="B25" s="24" t="s">
        <v>43</v>
      </c>
      <c r="C25" s="19">
        <f t="shared" si="0"/>
        <v>179</v>
      </c>
      <c r="G25" s="2"/>
      <c r="H25" s="24" t="s">
        <v>43</v>
      </c>
      <c r="I25" s="16">
        <v>179</v>
      </c>
      <c r="J25" s="8"/>
      <c r="K25" s="3"/>
      <c r="L25" s="24" t="s">
        <v>43</v>
      </c>
      <c r="M25" s="16">
        <f>'פרוט עמלות ניהול חיצוני לשנה'!H29</f>
        <v>0</v>
      </c>
      <c r="N25" s="8"/>
      <c r="O25" s="3"/>
    </row>
    <row r="26" spans="1:15" ht="12.75">
      <c r="A26" s="2"/>
      <c r="B26" s="23"/>
      <c r="C26" s="19"/>
      <c r="G26" s="2"/>
      <c r="H26" s="23"/>
      <c r="I26" s="19"/>
      <c r="J26" s="8"/>
      <c r="K26" s="3"/>
      <c r="L26" s="23"/>
      <c r="M26" s="19"/>
      <c r="N26" s="8"/>
      <c r="O26" s="3"/>
    </row>
    <row r="27" spans="1:15" ht="12.75">
      <c r="A27" s="2"/>
      <c r="B27" s="23" t="s">
        <v>25</v>
      </c>
      <c r="C27" s="16">
        <f t="shared" si="0"/>
        <v>0</v>
      </c>
      <c r="G27" s="2"/>
      <c r="H27" s="23" t="s">
        <v>25</v>
      </c>
      <c r="I27" s="16">
        <f>SUM(I28:I29)</f>
        <v>0</v>
      </c>
      <c r="J27" s="3"/>
      <c r="K27" s="3"/>
      <c r="L27" s="23" t="s">
        <v>25</v>
      </c>
      <c r="M27" s="16">
        <f>SUM(M28:M29)</f>
        <v>0</v>
      </c>
      <c r="N27" s="3"/>
      <c r="O27" s="3"/>
    </row>
    <row r="28" spans="1:15" ht="12.75">
      <c r="A28" s="2"/>
      <c r="B28" s="24" t="s">
        <v>44</v>
      </c>
      <c r="C28" s="16">
        <f t="shared" si="0"/>
        <v>0</v>
      </c>
      <c r="G28" s="2"/>
      <c r="H28" s="24" t="s">
        <v>44</v>
      </c>
      <c r="I28" s="16">
        <f>'פרוט עמלות והוצאות לשנה '!C45</f>
        <v>0</v>
      </c>
      <c r="J28" s="9"/>
      <c r="K28" s="10"/>
      <c r="L28" s="24" t="s">
        <v>44</v>
      </c>
      <c r="M28" s="16">
        <f>'פרוט עמלות והוצאות לשנה '!H45</f>
        <v>0</v>
      </c>
      <c r="N28" s="9"/>
      <c r="O28" s="10"/>
    </row>
    <row r="29" spans="1:15" ht="12.75">
      <c r="A29" s="2"/>
      <c r="B29" s="24" t="s">
        <v>45</v>
      </c>
      <c r="C29" s="16">
        <f t="shared" si="0"/>
        <v>0</v>
      </c>
      <c r="G29" s="2"/>
      <c r="H29" s="24" t="s">
        <v>45</v>
      </c>
      <c r="I29" s="16">
        <f>'פרוט עמלות והוצאות לשנה '!C51</f>
        <v>0</v>
      </c>
      <c r="K29" s="8"/>
      <c r="L29" s="24" t="s">
        <v>45</v>
      </c>
      <c r="M29" s="16">
        <f>'פרוט עמלות והוצאות לשנה '!H51</f>
        <v>0</v>
      </c>
      <c r="O29" s="8"/>
    </row>
    <row r="30" spans="2:12" ht="12.75">
      <c r="B30" s="23"/>
      <c r="C30" s="19"/>
      <c r="H30" s="23"/>
      <c r="L30" s="23"/>
    </row>
    <row r="31" spans="2:13" ht="12.75">
      <c r="B31" s="23" t="s">
        <v>46</v>
      </c>
      <c r="C31" s="19">
        <f>I31+M31</f>
        <v>729.015978201718</v>
      </c>
      <c r="H31" s="23" t="s">
        <v>46</v>
      </c>
      <c r="I31" s="19">
        <f>I3+I7+I12+I17+I27</f>
        <v>728.429978201718</v>
      </c>
      <c r="L31" s="23" t="s">
        <v>46</v>
      </c>
      <c r="M31" s="16">
        <f>M3+M7+M12+M17+M27</f>
        <v>0.586</v>
      </c>
    </row>
    <row r="32" spans="2:12" ht="12.75">
      <c r="B32" s="23"/>
      <c r="C32" s="19"/>
      <c r="H32" s="23"/>
      <c r="L32" s="23"/>
    </row>
    <row r="33" spans="2:12" ht="12.75">
      <c r="B33" s="23" t="s">
        <v>26</v>
      </c>
      <c r="C33" s="19"/>
      <c r="H33" s="23" t="s">
        <v>26</v>
      </c>
      <c r="L33" s="23" t="s">
        <v>26</v>
      </c>
    </row>
    <row r="34" spans="2:13" ht="25.5">
      <c r="B34" s="25" t="s">
        <v>47</v>
      </c>
      <c r="C34" s="8">
        <f>(C13+C17+C29)/C37</f>
        <v>0.0002853447356524289</v>
      </c>
      <c r="H34" s="25" t="s">
        <v>47</v>
      </c>
      <c r="I34" s="8">
        <f>(I13+I17+I29)/I37</f>
        <v>0.00028546255356982664</v>
      </c>
      <c r="L34" s="25" t="s">
        <v>47</v>
      </c>
      <c r="M34" s="8">
        <f>(M13+M17+M29)/M37</f>
        <v>0.00015771812080536915</v>
      </c>
    </row>
    <row r="35" spans="2:13" ht="12.75">
      <c r="B35" s="25" t="s">
        <v>27</v>
      </c>
      <c r="C35" s="8">
        <f>C31/C37</f>
        <v>0.00045125303735025444</v>
      </c>
      <c r="H35" s="25" t="s">
        <v>27</v>
      </c>
      <c r="I35" s="8">
        <f>I31/I37</f>
        <v>0.0004513065469603537</v>
      </c>
      <c r="L35" s="25" t="s">
        <v>27</v>
      </c>
      <c r="M35" s="8">
        <f>M31/M37</f>
        <v>0.00039328859060402683</v>
      </c>
    </row>
    <row r="36" spans="2:12" ht="12.75">
      <c r="B36" s="23"/>
      <c r="C36" s="19"/>
      <c r="H36" s="23"/>
      <c r="L36" s="23"/>
    </row>
    <row r="37" spans="2:13" ht="12.75">
      <c r="B37" s="23" t="s">
        <v>48</v>
      </c>
      <c r="C37" s="19">
        <f>I37+M37</f>
        <v>1615537</v>
      </c>
      <c r="H37" s="23" t="s">
        <v>48</v>
      </c>
      <c r="I37" s="30">
        <v>1614047</v>
      </c>
      <c r="L37" s="23" t="s">
        <v>48</v>
      </c>
      <c r="M37" s="30">
        <v>1490</v>
      </c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zoomScalePageLayoutView="0" workbookViewId="0" topLeftCell="A1">
      <selection activeCell="E4" sqref="E4"/>
    </sheetView>
  </sheetViews>
  <sheetFormatPr defaultColWidth="9.140625" defaultRowHeight="12.75"/>
  <cols>
    <col min="1" max="1" width="8.28125" style="1" bestFit="1" customWidth="1"/>
    <col min="2" max="2" width="50.421875" style="1" customWidth="1"/>
    <col min="3" max="3" width="15.8515625" style="1" customWidth="1"/>
    <col min="4" max="4" width="16.421875" style="1" bestFit="1" customWidth="1"/>
    <col min="5" max="5" width="32.57421875" style="1" customWidth="1"/>
    <col min="6" max="6" width="10.140625" style="1" bestFit="1" customWidth="1"/>
    <col min="7" max="9" width="8.28125" style="1" customWidth="1"/>
    <col min="10" max="16384" width="9.140625" style="1" customWidth="1"/>
  </cols>
  <sheetData>
    <row r="1" spans="1:12" ht="12.75">
      <c r="A1" s="35" t="s">
        <v>83</v>
      </c>
      <c r="B1" s="35"/>
      <c r="C1" s="35"/>
      <c r="D1" s="35"/>
      <c r="E1" s="35"/>
      <c r="F1" s="11"/>
      <c r="G1" s="11"/>
      <c r="H1" s="11"/>
      <c r="I1" s="11"/>
      <c r="J1" s="11"/>
      <c r="K1" s="11"/>
      <c r="L1" s="11"/>
    </row>
    <row r="2" spans="3:5" ht="51" customHeight="1">
      <c r="C2" s="2" t="s">
        <v>0</v>
      </c>
      <c r="D2" s="2"/>
      <c r="E2" s="13"/>
    </row>
    <row r="3" spans="1:2" ht="12.75">
      <c r="A3" s="2"/>
      <c r="B3" s="2" t="s">
        <v>49</v>
      </c>
    </row>
    <row r="4" spans="1:3" ht="12.75">
      <c r="A4" s="2"/>
      <c r="B4" s="2" t="s">
        <v>3</v>
      </c>
      <c r="C4" s="16">
        <f>SUM(C5:C7)</f>
        <v>0</v>
      </c>
    </row>
    <row r="5" spans="2:3" ht="12.75">
      <c r="B5" s="1" t="s">
        <v>69</v>
      </c>
      <c r="C5" s="15">
        <v>0</v>
      </c>
    </row>
    <row r="6" spans="2:3" ht="12.75">
      <c r="B6" s="1" t="s">
        <v>4</v>
      </c>
      <c r="C6" s="15">
        <v>0</v>
      </c>
    </row>
    <row r="7" spans="2:3" ht="12.75">
      <c r="B7" s="1" t="s">
        <v>10</v>
      </c>
      <c r="C7" s="15">
        <v>0</v>
      </c>
    </row>
    <row r="8" spans="1:3" ht="12.75">
      <c r="A8" s="2"/>
      <c r="B8" s="2" t="s">
        <v>5</v>
      </c>
      <c r="C8" s="16">
        <f>SUM(C9:C15)</f>
        <v>223.50199999999995</v>
      </c>
    </row>
    <row r="9" spans="1:3" ht="12.75">
      <c r="A9" s="2"/>
      <c r="B9" s="1" t="s">
        <v>70</v>
      </c>
      <c r="C9" s="15">
        <f>116453/1000+351/1000</f>
        <v>116.804</v>
      </c>
    </row>
    <row r="10" spans="1:3" ht="12.75">
      <c r="A10" s="2"/>
      <c r="B10" s="31" t="s">
        <v>85</v>
      </c>
      <c r="C10" s="15">
        <f>32468/1000</f>
        <v>32.468</v>
      </c>
    </row>
    <row r="11" spans="1:3" ht="12.75">
      <c r="A11" s="2"/>
      <c r="B11" s="31" t="s">
        <v>86</v>
      </c>
      <c r="C11" s="15">
        <f>21266/1000</f>
        <v>21.266</v>
      </c>
    </row>
    <row r="12" spans="1:3" ht="12.75">
      <c r="A12" s="2"/>
      <c r="B12" s="31" t="s">
        <v>87</v>
      </c>
      <c r="C12" s="15">
        <f>28584/1000</f>
        <v>28.584</v>
      </c>
    </row>
    <row r="13" spans="1:3" ht="12.75">
      <c r="A13" s="2"/>
      <c r="B13" s="31" t="s">
        <v>88</v>
      </c>
      <c r="C13" s="15">
        <f>10319/1000</f>
        <v>10.319</v>
      </c>
    </row>
    <row r="14" spans="1:4" ht="12.75">
      <c r="A14" s="2"/>
      <c r="B14" s="31" t="s">
        <v>89</v>
      </c>
      <c r="C14" s="15">
        <f>8741/1000</f>
        <v>8.741</v>
      </c>
      <c r="D14" s="8"/>
    </row>
    <row r="15" spans="1:4" ht="12.75">
      <c r="A15" s="2"/>
      <c r="B15" s="31" t="s">
        <v>10</v>
      </c>
      <c r="C15" s="15">
        <f>5320/1000</f>
        <v>5.32</v>
      </c>
      <c r="D15" s="8"/>
    </row>
    <row r="16" spans="1:5" ht="12.75">
      <c r="A16" s="2"/>
      <c r="B16" s="2" t="s">
        <v>6</v>
      </c>
      <c r="C16" s="16">
        <f>C8+C4</f>
        <v>223.50199999999995</v>
      </c>
      <c r="D16" s="8"/>
      <c r="E16" s="2"/>
    </row>
    <row r="17" spans="1:5" ht="12.75">
      <c r="A17" s="2"/>
      <c r="B17" s="2"/>
      <c r="C17" s="16"/>
      <c r="D17" s="8"/>
      <c r="E17" s="2"/>
    </row>
    <row r="18" spans="1:4" ht="12.75">
      <c r="A18" s="2"/>
      <c r="B18" s="2" t="s">
        <v>7</v>
      </c>
      <c r="C18" s="15"/>
      <c r="D18" s="8"/>
    </row>
    <row r="19" spans="1:4" ht="12.75">
      <c r="A19" s="2"/>
      <c r="B19" s="2" t="s">
        <v>3</v>
      </c>
      <c r="C19" s="16">
        <f>SUM(C20:C22)</f>
        <v>0</v>
      </c>
      <c r="D19" s="8"/>
    </row>
    <row r="20" spans="2:4" ht="12.75">
      <c r="B20" s="1" t="s">
        <v>8</v>
      </c>
      <c r="C20" s="15">
        <v>0</v>
      </c>
      <c r="D20" s="8"/>
    </row>
    <row r="21" spans="2:4" ht="12.75">
      <c r="B21" s="1" t="s">
        <v>9</v>
      </c>
      <c r="C21" s="15">
        <v>0</v>
      </c>
      <c r="D21" s="8"/>
    </row>
    <row r="22" spans="2:4" ht="12.75">
      <c r="B22" s="1" t="s">
        <v>10</v>
      </c>
      <c r="C22" s="15">
        <v>0</v>
      </c>
      <c r="D22" s="8"/>
    </row>
    <row r="23" spans="1:4" ht="12.75">
      <c r="A23" s="2"/>
      <c r="B23" s="2" t="s">
        <v>5</v>
      </c>
      <c r="C23" s="16">
        <f>SUM(C24:C26)</f>
        <v>44.528</v>
      </c>
      <c r="D23" s="8"/>
    </row>
    <row r="24" spans="2:4" ht="12.75">
      <c r="B24" s="1" t="s">
        <v>70</v>
      </c>
      <c r="C24" s="15">
        <f>39601/1000</f>
        <v>39.601</v>
      </c>
      <c r="D24" s="8"/>
    </row>
    <row r="25" spans="2:4" ht="12.75">
      <c r="B25" s="6" t="s">
        <v>68</v>
      </c>
      <c r="C25" s="15">
        <f>4927/1000</f>
        <v>4.927</v>
      </c>
      <c r="D25" s="8"/>
    </row>
    <row r="26" spans="2:4" ht="12.75">
      <c r="B26" s="1" t="s">
        <v>10</v>
      </c>
      <c r="C26" s="15">
        <v>0</v>
      </c>
      <c r="D26" s="8"/>
    </row>
    <row r="27" spans="1:5" ht="12.75">
      <c r="A27" s="2"/>
      <c r="B27" s="2" t="s">
        <v>11</v>
      </c>
      <c r="C27" s="16">
        <f>C23+C19</f>
        <v>44.528</v>
      </c>
      <c r="D27" s="8"/>
      <c r="E27" s="2"/>
    </row>
    <row r="28" spans="1:5" ht="12.75">
      <c r="A28" s="2"/>
      <c r="B28" s="2"/>
      <c r="C28" s="16"/>
      <c r="D28" s="8"/>
      <c r="E28" s="2"/>
    </row>
    <row r="29" spans="1:3" ht="12.75">
      <c r="A29" s="2"/>
      <c r="B29" s="2" t="s">
        <v>12</v>
      </c>
      <c r="C29" s="15"/>
    </row>
    <row r="30" spans="1:3" ht="12.75">
      <c r="A30" s="2"/>
      <c r="B30" s="6" t="s">
        <v>51</v>
      </c>
      <c r="C30" s="15">
        <v>0</v>
      </c>
    </row>
    <row r="31" spans="2:6" ht="12.75">
      <c r="B31" s="6" t="s">
        <v>52</v>
      </c>
      <c r="C31" s="17">
        <v>0</v>
      </c>
      <c r="E31" s="6"/>
      <c r="F31" s="6"/>
    </row>
    <row r="32" spans="2:5" ht="12.75">
      <c r="B32" s="6" t="s">
        <v>10</v>
      </c>
      <c r="C32" s="18">
        <v>0</v>
      </c>
      <c r="E32" s="5"/>
    </row>
    <row r="33" spans="1:5" ht="12.75">
      <c r="A33" s="2"/>
      <c r="B33" s="2" t="s">
        <v>50</v>
      </c>
      <c r="C33" s="16">
        <f>SUM(C30:C32)</f>
        <v>0</v>
      </c>
      <c r="D33" s="2"/>
      <c r="E33" s="2"/>
    </row>
    <row r="34" spans="1:5" ht="12.75">
      <c r="A34" s="2"/>
      <c r="B34" s="2"/>
      <c r="C34" s="16"/>
      <c r="D34" s="2"/>
      <c r="E34" s="2"/>
    </row>
    <row r="35" spans="1:3" ht="12.75">
      <c r="A35" s="2"/>
      <c r="B35" s="2" t="s">
        <v>54</v>
      </c>
      <c r="C35" s="15"/>
    </row>
    <row r="36" spans="2:3" ht="12.75">
      <c r="B36" s="6" t="s">
        <v>51</v>
      </c>
      <c r="C36" s="15">
        <v>0</v>
      </c>
    </row>
    <row r="37" spans="2:3" ht="12.75">
      <c r="B37" s="6" t="s">
        <v>52</v>
      </c>
      <c r="C37" s="15">
        <v>0</v>
      </c>
    </row>
    <row r="38" spans="2:3" ht="12.75">
      <c r="B38" s="1" t="s">
        <v>10</v>
      </c>
      <c r="C38" s="15">
        <v>0</v>
      </c>
    </row>
    <row r="39" spans="1:5" ht="12.75">
      <c r="A39" s="2"/>
      <c r="B39" s="2" t="s">
        <v>53</v>
      </c>
      <c r="C39" s="16">
        <f>SUM(C36:C38)</f>
        <v>0</v>
      </c>
      <c r="E39" s="2"/>
    </row>
    <row r="40" spans="1:5" ht="12.75">
      <c r="A40" s="2"/>
      <c r="B40" s="2"/>
      <c r="C40" s="16"/>
      <c r="E40" s="2"/>
    </row>
    <row r="41" spans="1:5" ht="12.75">
      <c r="A41" s="2"/>
      <c r="B41" s="2" t="s">
        <v>55</v>
      </c>
      <c r="C41" s="16"/>
      <c r="E41" s="2"/>
    </row>
    <row r="42" spans="1:5" ht="12.75">
      <c r="A42" s="2"/>
      <c r="B42" s="6" t="s">
        <v>51</v>
      </c>
      <c r="C42" s="17">
        <v>0</v>
      </c>
      <c r="E42" s="2"/>
    </row>
    <row r="43" spans="1:5" ht="12.75">
      <c r="A43" s="2"/>
      <c r="B43" s="6" t="s">
        <v>52</v>
      </c>
      <c r="C43" s="17">
        <v>0</v>
      </c>
      <c r="E43" s="2"/>
    </row>
    <row r="44" spans="1:5" ht="12.75">
      <c r="A44" s="2"/>
      <c r="B44" s="1" t="s">
        <v>10</v>
      </c>
      <c r="C44" s="17">
        <v>0</v>
      </c>
      <c r="E44" s="2"/>
    </row>
    <row r="45" spans="1:5" ht="12.75">
      <c r="A45" s="2"/>
      <c r="B45" s="2" t="s">
        <v>56</v>
      </c>
      <c r="C45" s="16">
        <f>SUM(C42:C44)</f>
        <v>0</v>
      </c>
      <c r="E45" s="2"/>
    </row>
    <row r="46" spans="1:5" ht="12.75">
      <c r="A46" s="2"/>
      <c r="B46" s="2"/>
      <c r="C46" s="16"/>
      <c r="E46" s="2"/>
    </row>
    <row r="47" spans="1:5" ht="12.75">
      <c r="A47" s="2"/>
      <c r="B47" s="2" t="s">
        <v>57</v>
      </c>
      <c r="C47" s="16"/>
      <c r="E47" s="2"/>
    </row>
    <row r="48" spans="1:5" ht="12.75">
      <c r="A48" s="2"/>
      <c r="B48" s="6" t="s">
        <v>51</v>
      </c>
      <c r="C48" s="17">
        <v>0</v>
      </c>
      <c r="E48" s="2"/>
    </row>
    <row r="49" spans="1:5" ht="12.75">
      <c r="A49" s="2"/>
      <c r="B49" s="6" t="s">
        <v>52</v>
      </c>
      <c r="C49" s="17">
        <v>0</v>
      </c>
      <c r="E49" s="2"/>
    </row>
    <row r="50" spans="1:5" ht="12.75">
      <c r="A50" s="2"/>
      <c r="B50" s="1" t="s">
        <v>10</v>
      </c>
      <c r="C50" s="17">
        <v>0</v>
      </c>
      <c r="E50" s="2"/>
    </row>
    <row r="51" spans="1:5" ht="12.75">
      <c r="A51" s="2"/>
      <c r="B51" s="2" t="s">
        <v>58</v>
      </c>
      <c r="C51" s="16">
        <f>SUM(C48:C50)</f>
        <v>0</v>
      </c>
      <c r="E51" s="2"/>
    </row>
    <row r="52" spans="1:5" ht="12.75">
      <c r="A52" s="2"/>
      <c r="B52" s="2"/>
      <c r="C52" s="16"/>
      <c r="E52" s="2"/>
    </row>
    <row r="53" spans="1:5" ht="12.75">
      <c r="A53" s="2"/>
      <c r="B53" s="2" t="s">
        <v>59</v>
      </c>
      <c r="C53" s="16">
        <f>C16+C27+C33+C39+C45+C51</f>
        <v>268.03</v>
      </c>
      <c r="E53" s="10"/>
    </row>
    <row r="54" spans="1:5" ht="12.75">
      <c r="A54" s="2"/>
      <c r="B54" s="2" t="s">
        <v>60</v>
      </c>
      <c r="C54" s="19">
        <f>'סך התשלומים ששולמו בגין כל סוג'!C37</f>
        <v>1615537</v>
      </c>
      <c r="E54" s="8"/>
    </row>
    <row r="55" spans="2:3" ht="12.75">
      <c r="B55" s="2"/>
      <c r="C55" s="2" t="s">
        <v>15</v>
      </c>
    </row>
    <row r="56" ht="12.75">
      <c r="C56" s="9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rightToLeft="1" zoomScalePageLayoutView="0" workbookViewId="0" topLeftCell="A16">
      <selection activeCell="C51" sqref="C51"/>
    </sheetView>
  </sheetViews>
  <sheetFormatPr defaultColWidth="9.140625" defaultRowHeight="12.75"/>
  <cols>
    <col min="1" max="1" width="11.140625" style="1" customWidth="1"/>
    <col min="2" max="2" width="48.8515625" style="1" bestFit="1" customWidth="1"/>
    <col min="3" max="3" width="16.57421875" style="1" bestFit="1" customWidth="1"/>
    <col min="4" max="4" width="16.421875" style="1" bestFit="1" customWidth="1"/>
    <col min="5" max="5" width="33.7109375" style="1" customWidth="1"/>
    <col min="6" max="6" width="17.00390625" style="1" customWidth="1"/>
    <col min="7" max="7" width="9.140625" style="1" customWidth="1"/>
    <col min="8" max="8" width="13.8515625" style="1" bestFit="1" customWidth="1"/>
    <col min="9" max="16384" width="9.140625" style="1" customWidth="1"/>
  </cols>
  <sheetData>
    <row r="1" spans="1:12" ht="12.75">
      <c r="A1" s="35" t="s">
        <v>84</v>
      </c>
      <c r="B1" s="35"/>
      <c r="C1" s="35"/>
      <c r="D1" s="35"/>
      <c r="E1" s="35"/>
      <c r="F1" s="11"/>
      <c r="G1" s="11"/>
      <c r="H1" s="11"/>
      <c r="I1" s="11"/>
      <c r="J1" s="11"/>
      <c r="K1" s="11"/>
      <c r="L1" s="11"/>
    </row>
    <row r="2" spans="3:6" ht="49.5" customHeight="1">
      <c r="C2" s="2" t="s">
        <v>0</v>
      </c>
      <c r="D2" s="2"/>
      <c r="E2" s="13"/>
      <c r="F2" s="2"/>
    </row>
    <row r="3" spans="1:2" ht="12.75">
      <c r="A3" s="2"/>
      <c r="B3" s="2" t="s">
        <v>16</v>
      </c>
    </row>
    <row r="4" spans="1:3" ht="12.75">
      <c r="A4" s="2"/>
      <c r="B4" s="27" t="s">
        <v>72</v>
      </c>
      <c r="C4" s="15">
        <f>(2369+2558)/1000</f>
        <v>4.927</v>
      </c>
    </row>
    <row r="5" spans="1:3" ht="12.75">
      <c r="A5" s="2"/>
      <c r="B5" s="27" t="s">
        <v>90</v>
      </c>
      <c r="C5" s="15">
        <f>(2797+7375)/1000</f>
        <v>10.172</v>
      </c>
    </row>
    <row r="6" spans="1:3" ht="12.75">
      <c r="A6" s="2"/>
      <c r="B6" s="27" t="s">
        <v>91</v>
      </c>
      <c r="C6" s="15">
        <f>(8964+8975)/1000</f>
        <v>17.939</v>
      </c>
    </row>
    <row r="7" spans="2:5" ht="12" customHeight="1">
      <c r="B7" s="27" t="s">
        <v>92</v>
      </c>
      <c r="C7" s="15">
        <f>(11672)/1000</f>
        <v>11.672</v>
      </c>
      <c r="D7" s="8"/>
      <c r="E7" s="20"/>
    </row>
    <row r="8" spans="2:5" ht="12" customHeight="1">
      <c r="B8" s="28" t="s">
        <v>71</v>
      </c>
      <c r="C8" s="15">
        <f>(2099+1998)/1000</f>
        <v>4.097</v>
      </c>
      <c r="D8" s="8"/>
      <c r="E8" s="20"/>
    </row>
    <row r="9" spans="2:5" ht="12" customHeight="1">
      <c r="B9" s="6" t="s">
        <v>10</v>
      </c>
      <c r="C9" s="15">
        <v>0</v>
      </c>
      <c r="D9" s="8"/>
      <c r="E9" s="20"/>
    </row>
    <row r="10" spans="1:5" ht="12.75">
      <c r="A10" s="2"/>
      <c r="B10" s="2" t="s">
        <v>1</v>
      </c>
      <c r="C10" s="16">
        <f>SUM(C4:C9)</f>
        <v>48.806999999999995</v>
      </c>
      <c r="D10" s="8"/>
      <c r="E10" s="15"/>
    </row>
    <row r="11" spans="1:5" ht="12.75">
      <c r="A11" s="2"/>
      <c r="B11" s="2"/>
      <c r="C11" s="16"/>
      <c r="D11" s="8"/>
      <c r="E11" s="15"/>
    </row>
    <row r="12" spans="1:5" ht="12.75">
      <c r="A12" s="2"/>
      <c r="B12" s="2" t="s">
        <v>17</v>
      </c>
      <c r="C12" s="15"/>
      <c r="D12" s="8"/>
      <c r="E12" s="4"/>
    </row>
    <row r="13" spans="2:4" ht="12.75">
      <c r="B13" s="1" t="s">
        <v>13</v>
      </c>
      <c r="C13" s="15">
        <v>0</v>
      </c>
      <c r="D13" s="8"/>
    </row>
    <row r="14" spans="2:4" ht="12.75">
      <c r="B14" s="1" t="s">
        <v>14</v>
      </c>
      <c r="C14" s="15">
        <v>0</v>
      </c>
      <c r="D14" s="8"/>
    </row>
    <row r="15" spans="2:4" ht="12.75">
      <c r="B15" s="1" t="s">
        <v>10</v>
      </c>
      <c r="C15" s="15">
        <v>0</v>
      </c>
      <c r="D15" s="8"/>
    </row>
    <row r="16" spans="1:5" ht="12.75">
      <c r="A16" s="2"/>
      <c r="B16" s="2" t="s">
        <v>2</v>
      </c>
      <c r="C16" s="16">
        <f>SUM(C13:C15)</f>
        <v>0</v>
      </c>
      <c r="D16" s="8"/>
      <c r="E16" s="2"/>
    </row>
    <row r="17" spans="1:5" ht="12.75">
      <c r="A17" s="2"/>
      <c r="B17" s="2"/>
      <c r="C17" s="16"/>
      <c r="D17" s="8"/>
      <c r="E17" s="2"/>
    </row>
    <row r="18" spans="1:4" ht="12.75">
      <c r="A18" s="2"/>
      <c r="B18" s="2" t="s">
        <v>18</v>
      </c>
      <c r="C18" s="15"/>
      <c r="D18" s="8"/>
    </row>
    <row r="19" spans="2:4" ht="12.75">
      <c r="B19" s="1" t="s">
        <v>13</v>
      </c>
      <c r="C19" s="15">
        <v>0</v>
      </c>
      <c r="D19" s="8"/>
    </row>
    <row r="20" spans="2:4" ht="12.75">
      <c r="B20" s="1" t="s">
        <v>14</v>
      </c>
      <c r="C20" s="15">
        <v>0</v>
      </c>
      <c r="D20" s="8"/>
    </row>
    <row r="21" spans="2:4" ht="15" customHeight="1">
      <c r="B21" s="1" t="s">
        <v>10</v>
      </c>
      <c r="C21" s="15">
        <v>0</v>
      </c>
      <c r="D21" s="8"/>
    </row>
    <row r="22" spans="1:5" ht="12.75">
      <c r="A22" s="2"/>
      <c r="B22" s="2" t="s">
        <v>61</v>
      </c>
      <c r="C22" s="16">
        <f>SUM(C19:C21)</f>
        <v>0</v>
      </c>
      <c r="D22" s="8"/>
      <c r="E22" s="2"/>
    </row>
    <row r="23" spans="1:5" ht="12.75">
      <c r="A23" s="2"/>
      <c r="B23" s="2"/>
      <c r="C23" s="16"/>
      <c r="D23" s="8"/>
      <c r="E23" s="2"/>
    </row>
    <row r="24" spans="1:4" ht="12.75">
      <c r="A24" s="2"/>
      <c r="B24" s="2" t="s">
        <v>62</v>
      </c>
      <c r="C24" s="15"/>
      <c r="D24" s="8"/>
    </row>
    <row r="25" spans="1:4" ht="12.75">
      <c r="A25" s="2"/>
      <c r="B25" s="2" t="s">
        <v>63</v>
      </c>
      <c r="C25" s="16">
        <f>SUM(C26:C28)</f>
        <v>57.598</v>
      </c>
      <c r="D25" s="8"/>
    </row>
    <row r="26" spans="2:4" ht="12.75">
      <c r="B26" s="6" t="s">
        <v>73</v>
      </c>
      <c r="C26" s="15">
        <f>28279/1000+29319/1000</f>
        <v>57.598</v>
      </c>
      <c r="D26" s="8"/>
    </row>
    <row r="27" spans="2:4" ht="12.75">
      <c r="B27" s="6" t="s">
        <v>64</v>
      </c>
      <c r="C27" s="15">
        <v>0</v>
      </c>
      <c r="D27" s="8"/>
    </row>
    <row r="28" spans="2:4" ht="12.75">
      <c r="B28" s="1" t="s">
        <v>10</v>
      </c>
      <c r="C28" s="15">
        <v>0</v>
      </c>
      <c r="D28" s="8"/>
    </row>
    <row r="29" spans="1:4" ht="12.75">
      <c r="A29" s="2"/>
      <c r="B29" s="2" t="s">
        <v>65</v>
      </c>
      <c r="C29" s="16">
        <f>SUM(C30:C34)</f>
        <v>178.99500000000003</v>
      </c>
      <c r="D29" s="8"/>
    </row>
    <row r="30" spans="1:4" ht="12.75">
      <c r="A30" s="2"/>
      <c r="B30" s="27" t="s">
        <v>93</v>
      </c>
      <c r="C30" s="15">
        <f>15901/1000+15820/1000</f>
        <v>31.721</v>
      </c>
      <c r="D30" s="8"/>
    </row>
    <row r="31" spans="1:4" ht="12.75">
      <c r="A31" s="2"/>
      <c r="B31" s="27" t="s">
        <v>94</v>
      </c>
      <c r="C31" s="15">
        <f>25068/1000+2321/1000</f>
        <v>27.389000000000003</v>
      </c>
      <c r="D31" s="8"/>
    </row>
    <row r="32" spans="1:4" ht="12.75">
      <c r="A32" s="2"/>
      <c r="B32" s="27" t="s">
        <v>95</v>
      </c>
      <c r="C32" s="15">
        <f>30314/1000+30964/1000</f>
        <v>61.278</v>
      </c>
      <c r="D32" s="8"/>
    </row>
    <row r="33" spans="2:4" ht="12.75">
      <c r="B33" s="27" t="s">
        <v>75</v>
      </c>
      <c r="C33" s="15">
        <f>26711/1000+27626/1000</f>
        <v>54.337</v>
      </c>
      <c r="D33" s="8"/>
    </row>
    <row r="34" spans="2:4" ht="12.75">
      <c r="B34" s="27" t="s">
        <v>74</v>
      </c>
      <c r="C34" s="15">
        <f>2139/1000+2131/1000</f>
        <v>4.27</v>
      </c>
      <c r="D34" s="8"/>
    </row>
    <row r="35" spans="1:5" ht="12.75">
      <c r="A35" s="2"/>
      <c r="B35" s="2" t="s">
        <v>19</v>
      </c>
      <c r="C35" s="16">
        <f>C29+C25</f>
        <v>236.59300000000002</v>
      </c>
      <c r="E35" s="14"/>
    </row>
    <row r="36" spans="1:5" ht="12.75">
      <c r="A36" s="2"/>
      <c r="B36" s="2"/>
      <c r="C36" s="16"/>
      <c r="E36" s="14"/>
    </row>
    <row r="37" spans="1:5" ht="12.75">
      <c r="A37" s="2"/>
      <c r="B37" s="2" t="s">
        <v>21</v>
      </c>
      <c r="C37" s="16"/>
      <c r="E37" s="3"/>
    </row>
    <row r="38" spans="1:5" ht="12.75">
      <c r="A38" s="2"/>
      <c r="B38" s="2" t="s">
        <v>66</v>
      </c>
      <c r="C38" s="16">
        <f>SUM(C39:C41)</f>
        <v>58.368049692127094</v>
      </c>
      <c r="E38" s="3"/>
    </row>
    <row r="39" spans="1:5" ht="12.75">
      <c r="A39" s="2"/>
      <c r="B39" s="1" t="s">
        <v>76</v>
      </c>
      <c r="C39" s="32">
        <f>133211.10464536/1000-67746/1000+184/1000-4/1000</f>
        <v>65.64510464536</v>
      </c>
      <c r="E39" s="3"/>
    </row>
    <row r="40" spans="1:5" ht="12.75">
      <c r="A40" s="2"/>
      <c r="B40" s="1" t="s">
        <v>77</v>
      </c>
      <c r="C40" s="33">
        <f>27885.9450467671/1000-35218/1000+93/1000-6/1000</f>
        <v>-7.245054953232902</v>
      </c>
      <c r="E40" s="3"/>
    </row>
    <row r="41" spans="1:5" ht="12.75">
      <c r="A41" s="2"/>
      <c r="B41" s="6" t="s">
        <v>101</v>
      </c>
      <c r="C41" s="33">
        <f>-(32/1000)</f>
        <v>-0.032</v>
      </c>
      <c r="E41" s="3"/>
    </row>
    <row r="42" spans="1:5" ht="12.75">
      <c r="A42" s="2"/>
      <c r="B42" s="2" t="s">
        <v>67</v>
      </c>
      <c r="C42" s="19">
        <f>SUM(C43:C50)</f>
        <v>117.20992850959087</v>
      </c>
      <c r="E42" s="3"/>
    </row>
    <row r="43" spans="1:5" ht="12.75">
      <c r="A43" s="2"/>
      <c r="B43" s="28" t="s">
        <v>96</v>
      </c>
      <c r="C43" s="32">
        <f>68625.7402629255/1000</f>
        <v>68.62574026292549</v>
      </c>
      <c r="E43" s="3"/>
    </row>
    <row r="44" spans="1:5" ht="12.75">
      <c r="A44" s="2"/>
      <c r="B44" s="34" t="s">
        <v>78</v>
      </c>
      <c r="C44" s="32">
        <f>16297.933421936/1000</f>
        <v>16.297933421936</v>
      </c>
      <c r="E44" s="3"/>
    </row>
    <row r="45" spans="1:5" ht="12.75">
      <c r="A45" s="2"/>
      <c r="B45" s="34" t="s">
        <v>97</v>
      </c>
      <c r="C45" s="32">
        <f>7086.46874061656/1000</f>
        <v>7.08646874061656</v>
      </c>
      <c r="E45" s="3"/>
    </row>
    <row r="46" spans="1:5" ht="12.75">
      <c r="A46" s="2"/>
      <c r="B46" s="34" t="s">
        <v>98</v>
      </c>
      <c r="C46" s="32">
        <f>2735.84777030071/1000</f>
        <v>2.73584777030071</v>
      </c>
      <c r="E46" s="3"/>
    </row>
    <row r="47" spans="1:5" ht="12.75">
      <c r="A47" s="2"/>
      <c r="B47" s="34" t="s">
        <v>79</v>
      </c>
      <c r="C47" s="32">
        <f>13732.4883395511/1000</f>
        <v>13.7324883395511</v>
      </c>
      <c r="E47" s="3"/>
    </row>
    <row r="48" spans="1:5" ht="12.75">
      <c r="A48" s="2"/>
      <c r="B48" s="34" t="s">
        <v>99</v>
      </c>
      <c r="C48" s="32">
        <f>1191.17872896014/1000</f>
        <v>1.19117872896014</v>
      </c>
      <c r="E48" s="3"/>
    </row>
    <row r="49" spans="1:5" ht="12.75">
      <c r="A49" s="2"/>
      <c r="B49" s="34" t="s">
        <v>100</v>
      </c>
      <c r="C49" s="32">
        <f>1592.53182492939/1000</f>
        <v>1.59253182492939</v>
      </c>
      <c r="E49" s="3"/>
    </row>
    <row r="50" spans="1:5" ht="12.75">
      <c r="A50" s="2"/>
      <c r="B50" s="34" t="s">
        <v>10</v>
      </c>
      <c r="C50" s="32">
        <f>5947.73942037147/1000</f>
        <v>5.94773942037147</v>
      </c>
      <c r="E50" s="3"/>
    </row>
    <row r="51" spans="1:5" ht="12.75">
      <c r="A51" s="2"/>
      <c r="B51" s="2" t="s">
        <v>20</v>
      </c>
      <c r="C51" s="19">
        <f>C10+C16+C22+C35+C38+C42</f>
        <v>460.977978201718</v>
      </c>
      <c r="D51" s="3"/>
      <c r="E51" s="3"/>
    </row>
    <row r="52" spans="1:5" ht="12.75">
      <c r="A52" s="2"/>
      <c r="B52" s="2" t="s">
        <v>60</v>
      </c>
      <c r="C52" s="19">
        <f>'סך התשלומים ששולמו בגין כל סוג'!C37</f>
        <v>1615537</v>
      </c>
      <c r="E52" s="10"/>
    </row>
    <row r="53" spans="1:5" ht="12.75">
      <c r="A53" s="2"/>
      <c r="B53" s="2"/>
      <c r="C53" s="8"/>
      <c r="E53" s="8"/>
    </row>
    <row r="55" ht="12.75">
      <c r="C55" s="12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3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2015-08-19T07:24:59Z</dcterms:modified>
  <cp:category/>
  <cp:version/>
  <cp:contentType/>
  <cp:contentStatus/>
</cp:coreProperties>
</file>